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cueil" sheetId="1" state="visible" r:id="rId3"/>
    <sheet name="1-Opération de mars" sheetId="2" state="visible" r:id="rId4"/>
    <sheet name="2-Révision févrie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<sst xmlns="http://schemas.openxmlformats.org/spreadsheetml/2006/main" count="154" uniqueCount="129">
  <si>
    <t xml:space="preserve">CORRIGÉ · CP4 · Jour 3 · Les opérations commerciales, et la révision</t>
  </si>
  <si>
    <t xml:space="preserve">REBOND &amp; CO, parc de loisirs indoor · AMUM 7 · JMSA · mardi 2 février 2027</t>
  </si>
  <si>
    <t xml:space="preserve">Comment utiliser ce classeur</t>
  </si>
  <si>
    <t xml:space="preserve">•  Le corrigé : chaque case jaune contient la formule ou la réponse attendue ; les formules en toutes lettres sont rappelées en bleu.</t>
  </si>
  <si>
    <t xml:space="preserve">•  Le matin : Léa monte « Mars, le mois des anniversaires », une opération pour relancer les fêtes. Budget, seuil de rentabilité, choix de l'offre, bilan.</t>
  </si>
  <si>
    <t xml:space="preserve">•  L'après-midi : la révision de toute la CP4, sur le tableau de bord de février 2027 : calculer, signaler, analyser, proposer.</t>
  </si>
  <si>
    <t xml:space="preserve">N°</t>
  </si>
  <si>
    <t xml:space="preserve">L'onglet</t>
  </si>
  <si>
    <t xml:space="preserve">Ce que vous faites</t>
  </si>
  <si>
    <t xml:space="preserve">Temps</t>
  </si>
  <si>
    <t xml:space="preserve">1</t>
  </si>
  <si>
    <t xml:space="preserve">1-Opération de mars</t>
  </si>
  <si>
    <t xml:space="preserve">la fiche QQOQCCP, le budget, le seuil de rentabilité, le choix de l'offre, le bilan</t>
  </si>
  <si>
    <t xml:space="preserve">35 min</t>
  </si>
  <si>
    <t xml:space="preserve">2</t>
  </si>
  <si>
    <t xml:space="preserve">2-Révision février</t>
  </si>
  <si>
    <t xml:space="preserve">le tableau de bord de février, six calculs express, l'analyse et deux propositions</t>
  </si>
  <si>
    <t xml:space="preserve">75 min</t>
  </si>
  <si>
    <t xml:space="preserve">Exercice 1 · « Mars, le mois des anniversaires »</t>
  </si>
  <si>
    <t xml:space="preserve">Temps conseillé : 35 min · Objectif : passer de 100 fêtes (mars 2026) à 115 fêtes en mars 2027, sans baisser les prix</t>
  </si>
  <si>
    <t xml:space="preserve">★  L'ESSENTIEL</t>
  </si>
  <si>
    <t xml:space="preserve">1. Le budget (C15 à C22) : le total des dépenses fixes, le coût de l'offre sur les 100 fêtes habituelles, le coût total. 2. Le seuil (C24 à C26) : combien de fêtes en plus pour couvrir ce coût ?</t>
  </si>
  <si>
    <t xml:space="preserve">★★  POUR ALLER PLUS LOIN</t>
  </si>
  <si>
    <t xml:space="preserve">3. Comparez trois offres (B30 à F33) : − 20 %, − 10 %, ou le goûter des parents et une photo offerts. Laquelle demande le moins de fêtes en plus ? 4. La fiche QQOQCCP (H15 à I21).</t>
  </si>
  <si>
    <t xml:space="preserve">★★★  LE DÉFI</t>
  </si>
  <si>
    <t xml:space="preserve">5. Le bilan d'avril (C37 à C40) : 118 fêtes réalisées. L'objectif est-il atteint ? Combien l'opération a-t-elle rapporté ? Faut-il la renouveler ? (I37)</t>
  </si>
  <si>
    <t xml:space="preserve">Le budget de l'offre C (goûter des parents + photo)</t>
  </si>
  <si>
    <t xml:space="preserve">4 · La fiche QQOQCCP</t>
  </si>
  <si>
    <t xml:space="preserve">Flyers dans les écoles et centres de loisirs</t>
  </si>
  <si>
    <t xml:space="preserve">Qui ?</t>
  </si>
  <si>
    <t xml:space="preserve">les parents d'enfants de 4 à 12 ans, à moins de 20 km ; les écoles et centres de loisirs pour faire connaître</t>
  </si>
  <si>
    <t xml:space="preserve">Publications sponsorisées sur les réseaux sociaux</t>
  </si>
  <si>
    <t xml:space="preserve">Quoi ?</t>
  </si>
  <si>
    <t xml:space="preserve">« Mars, le mois des anniversaires » : pour toute fête organisée en mars, le goûter des parents et une photo souvenir offerts</t>
  </si>
  <si>
    <t xml:space="preserve">Décoration de la salle anniversaire</t>
  </si>
  <si>
    <t xml:space="preserve">Où ?</t>
  </si>
  <si>
    <t xml:space="preserve">au parc ; réservation en ligne et par téléphone</t>
  </si>
  <si>
    <t xml:space="preserve">Heures en plus d'Inès : relances des devis (12 h × 15 €)</t>
  </si>
  <si>
    <t xml:space="preserve">Quand ?</t>
  </si>
  <si>
    <t xml:space="preserve">du 1er au 31 mars 2027 ; communication dès le 15 février ; bilan début avril</t>
  </si>
  <si>
    <t xml:space="preserve">1 · Dépenses fixes de l'opération</t>
  </si>
  <si>
    <t xml:space="preserve">Comment ?</t>
  </si>
  <si>
    <t xml:space="preserve">affiche à l'accueil, publications, flyers dans les écoles, script téléphonique, devis rappelés sous 24 h</t>
  </si>
  <si>
    <t xml:space="preserve">Coût de l'offre par fête (goûter des parents 8 € + photo 2 €)</t>
  </si>
  <si>
    <t xml:space="preserve">Combien ?</t>
  </si>
  <si>
    <t xml:space="preserve">780 € de dépenses fixes + 10 € par fête ; seuil : 13 fêtes en plus</t>
  </si>
  <si>
    <t xml:space="preserve">Fêtes habituelles en mars (mars 2026)</t>
  </si>
  <si>
    <t xml:space="preserve">Pourquoi ?</t>
  </si>
  <si>
    <t xml:space="preserve">passer de 100 à 115 fêtes, face à JUMP CITY, sans baisser les prix</t>
  </si>
  <si>
    <t xml:space="preserve">1 · Coût total : fixes + offre sur les fêtes habituelles</t>
  </si>
  <si>
    <t xml:space="preserve">Marge brute moyenne d'une fête (donnée par Nadia)</t>
  </si>
  <si>
    <t xml:space="preserve">2 · Marge d'une fête en plus, offre déduite</t>
  </si>
  <si>
    <t xml:space="preserve">2 · Seuil : fêtes en plus nécessaires (arrondi au-dessus)</t>
  </si>
  <si>
    <t xml:space="preserve">→ en tout :</t>
  </si>
  <si>
    <t xml:space="preserve">3 · ★★ Quelle offre ?</t>
  </si>
  <si>
    <t xml:space="preserve">L'offre</t>
  </si>
  <si>
    <t xml:space="preserve">Coût par fête</t>
  </si>
  <si>
    <t xml:space="preserve">Coût total</t>
  </si>
  <si>
    <t xml:space="preserve">Marge d'une fête en plus</t>
  </si>
  <si>
    <t xml:space="preserve">Fêtes en plus nécessaires</t>
  </si>
  <si>
    <t xml:space="preserve">A · − 20 % sur les formules (10 enfants à 19 € TTC)</t>
  </si>
  <si>
    <t xml:space="preserve">B · − 10 % sur les formules</t>
  </si>
  <si>
    <t xml:space="preserve">C · goûter des parents + photo offerts</t>
  </si>
  <si>
    <t xml:space="preserve">3 · ★★ L'offre retenue, et pourquoi</t>
  </si>
  <si>
    <t xml:space="preserve">L'offre C : 13 fêtes en plus suffisent, contre 19 (B) et 37 (A). Elle valorise l'expérience au lieu de baisser les prix face à JUMP CITY.</t>
  </si>
  <si>
    <t xml:space="preserve">5 · ★★★ Le bilan d'avril</t>
  </si>
  <si>
    <t xml:space="preserve">Faut-il la renouveler ?</t>
  </si>
  <si>
    <t xml:space="preserve">Fêtes réalisées en mars 2027</t>
  </si>
  <si>
    <t xml:space="preserve">Oui, en l'améliorant : 102,6 % de l'objectif, + 740 € de marge. À vérifier avant de renouveler : les avis, le panier d'une fête, et ce qui a fait venir les nouvelles familles (flyers ? réseaux ?).</t>
  </si>
  <si>
    <t xml:space="preserve">Taux de réalisation de l'objectif (115 fêtes)</t>
  </si>
  <si>
    <t xml:space="preserve">Fêtes en plus par rapport à mars 2026</t>
  </si>
  <si>
    <t xml:space="preserve">Ce que l'opération a rapporté : fêtes en plus × marge − coût total</t>
  </si>
  <si>
    <t xml:space="preserve">C19 =SOMME(C15:C18) → 780 € · C22 =C19+C20*C21 → 1 780 € · C25 =C24-C20 → 140 €</t>
  </si>
  <si>
    <t xml:space="preserve">C26 =ARRONDI.SUP(C22/C25;0) → 13 fêtes en plus, 113 en tout · Offre A : 37 fêtes en plus · B : 19 · C : 13</t>
  </si>
  <si>
    <t xml:space="preserve">Bilan : =C37/115 → 102,6 % · =C39*C25-C22 → 18 × 140 − 1 780 = + 740 €</t>
  </si>
  <si>
    <t xml:space="preserve">Exercice 2 · Révision : le tableau de bord de février 2027</t>
  </si>
  <si>
    <t xml:space="preserve">Temps conseillé : 75 min · Comme à l'ECF : renseigner, calculer, analyser, proposer · tous les montants sont hors taxes</t>
  </si>
  <si>
    <t xml:space="preserve">1. Le réalisé des ratios (E22 à E27) à partir des données (L15 à M24). 2. Pour les 15 lignes : écart, taux de réalisation, évolution sur février 2026 (en points pour le captage), voyant (attention au sens ↓).</t>
  </si>
  <si>
    <t xml:space="preserve">3. Les six calculs express (L28 à M39) : prix, marges, TVA, décomposition.</t>
  </si>
  <si>
    <t xml:space="preserve">4. L'analyse (B33) : contexte, constats chiffrés, ce qui a marché depuis janvier, ce qui décroche ; deux propositions (« Je propose… ») ; une conclusion.</t>
  </si>
  <si>
    <t xml:space="preserve">Indicateur</t>
  </si>
  <si>
    <t xml:space="preserve">Sens</t>
  </si>
  <si>
    <t xml:space="preserve">Objectif</t>
  </si>
  <si>
    <t xml:space="preserve">Réalisé</t>
  </si>
  <si>
    <t xml:space="preserve">Écart</t>
  </si>
  <si>
    <t xml:space="preserve">Taux de réalisation</t>
  </si>
  <si>
    <t xml:space="preserve">Février 2026</t>
  </si>
  <si>
    <t xml:space="preserve">Évolution</t>
  </si>
  <si>
    <t xml:space="preserve">Voyant</t>
  </si>
  <si>
    <t xml:space="preserve">Les données de février</t>
  </si>
  <si>
    <t xml:space="preserve">Valeur</t>
  </si>
  <si>
    <t xml:space="preserve">CA HT total</t>
  </si>
  <si>
    <t xml:space="preserve">↑</t>
  </si>
  <si>
    <t xml:space="preserve">CA HT entrées</t>
  </si>
  <si>
    <t xml:space="preserve">CA HT anniversaires</t>
  </si>
  <si>
    <t xml:space="preserve">CA HT snack</t>
  </si>
  <si>
    <t xml:space="preserve">CA HT boutique</t>
  </si>
  <si>
    <t xml:space="preserve">CA HT cartes 10 entrées</t>
  </si>
  <si>
    <t xml:space="preserve">Entrées (visiteurs)</t>
  </si>
  <si>
    <t xml:space="preserve">Tickets du snack</t>
  </si>
  <si>
    <t xml:space="preserve">Dépense moyenne par visiteur</t>
  </si>
  <si>
    <t xml:space="preserve">Fêtes d'anniversaire</t>
  </si>
  <si>
    <t xml:space="preserve">Taux de captage du snack</t>
  </si>
  <si>
    <t xml:space="preserve">Heures travaillées</t>
  </si>
  <si>
    <t xml:space="preserve">Panier moyen du snack</t>
  </si>
  <si>
    <t xml:space="preserve">Cartes de fidélité ouvertes</t>
  </si>
  <si>
    <t xml:space="preserve">↓</t>
  </si>
  <si>
    <t xml:space="preserve">Voyants rouges / orange / verts</t>
  </si>
  <si>
    <t xml:space="preserve">Productivité horaire</t>
  </si>
  <si>
    <t xml:space="preserve">3 · ★★ Six calculs express</t>
  </si>
  <si>
    <t xml:space="preserve">Réclamations</t>
  </si>
  <si>
    <t xml:space="preserve">a · Gourde lumineuse : achat 3,70 € HT + 0,30 € de frais, vendue 12,00 € TTC (20 %). Prix HT ?</t>
  </si>
  <si>
    <t xml:space="preserve">Réclamations de février (registre) : 7. Voyants de REBOND &amp; CO : vert ≥ 100 % ; orange de 95 à 99,9 % ; rouge &lt; 95 % ; pour ↓ : vert ≤ 100 %, orange ≤ 105 %, rouge au-delà.</t>
  </si>
  <si>
    <t xml:space="preserve">a · … sa marge brute ?</t>
  </si>
  <si>
    <t xml:space="preserve">a · … son taux de marque ?</t>
  </si>
  <si>
    <t xml:space="preserve">4 · ★★★ L'analyse de février, pour Nadia</t>
  </si>
  <si>
    <t xml:space="preserve">a · … son coefficient ?</t>
  </si>
  <si>
    <t xml:space="preserve">Février 2027 : 108 480 € HT, 100,4 % de l'objectif et + 5,7 % sur février 2026 ; 8 voyants verts, 4 orange, 3 rouges. Ce qui a marché depuis janvier : le renfort au snack le week-end. Le captage remonte à 39,0 % (+ 1,0 pt sur l'objectif, + 3,1 pts sur un an), le CA du snack fait 107,1 % de l'objectif, et les réclamations tombent à 7 (12 au maximum). Ce qui décroche encore : les anniversaires, 91,7 % de l'objectif (− 1 610 €). Le panier tient (194,46 € pour 195 € : − 50 €) ; c'est le nombre de fêtes qui manque (92 pour 100 : − 1 560 €). Les cartes 10 entrées restent rouges (88,7 %) malgré + 18,2 % sur un an : leur objectif est à revoir. Je propose de lancer « Mars, le mois des anniversaires » (goûter des parents et photo offerts, 1 780 € de coût, rentable dès 13 fêtes en plus), et de revoir avec la direction l'objectif des cartes 10 entrées. En conclusion : un mois à l'objectif, des actions de janvier qui fonctionnent, et un point à traiter en mars, les anniversaires.</t>
  </si>
  <si>
    <t xml:space="preserve">b · Bracelet lumineux : coût 1,20 € HT, taux de marque visé 60 %. Prix de vente HT ?</t>
  </si>
  <si>
    <t xml:space="preserve">c · Formule Classique : 19,00 € TTC (10 %). Prix HT ?</t>
  </si>
  <si>
    <t xml:space="preserve">d · TVA collectée de février (boutique à 20 %, le reste à 10 %)</t>
  </si>
  <si>
    <t xml:space="preserve">d · TVA déductible : 1 980 €. TVA à reverser ?</t>
  </si>
  <si>
    <t xml:space="preserve">e · Anniversaires : effet du nombre (fêtes − 100) × 195 € visés</t>
  </si>
  <si>
    <t xml:space="preserve">e · Anniversaires : effet du panier, fêtes × (panier réalisé − 195 €)</t>
  </si>
  <si>
    <t xml:space="preserve">f · Le panier moyen d'une fête en février</t>
  </si>
  <si>
    <t xml:space="preserve">E15 =SOMME(M15:M19) · E22 =E15/M20 · E23 =M21/M20 · E24 =M17/M21 · E27 =E15/M23</t>
  </si>
  <si>
    <t xml:space="preserve">F23 et I23 (captage) : =(E23-D23)*100 et =(E23-H23)*100 · J15 : le voyant qui tient compte du sens (↑ ou ↓)</t>
  </si>
  <si>
    <t xml:space="preserve">Voyants : 3 rouges (anniversaires, cartes 10 entrées, fêtes) · 4 orange (dépense, heures, productivité, cartes de fidélité) · 8 verts</t>
  </si>
  <si>
    <t xml:space="preserve">Calculs express : 10,00 € · 6,00 € · 60 % · 3,00 · 3,00 € · 17,27 € · 11 460 € · 9 480 € · − 1 560 € · − 50 € · 194,46 €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</si>
</sst>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#,##0&quot; €&quot;"/>
    <numFmt numFmtId="166" formatCode="0"/>
    <numFmt numFmtId="167" formatCode="0&quot; fêtes&quot;"/>
    <numFmt numFmtId="168" formatCode="#,##0.00&quot; €&quot;"/>
    <numFmt numFmtId="169" formatCode="0.0%"/>
    <numFmt numFmtId="170" formatCode="\+#,##0&quot; €&quot;;\-#,##0&quot; €&quot;;0&quot; €&quot;"/>
    <numFmt numFmtId="171" formatCode="\+0.0%;\-0.0%;0.0%"/>
    <numFmt numFmtId="172" formatCode="#,##0"/>
    <numFmt numFmtId="173" formatCode="\+#,##0;\-#,##0;0"/>
    <numFmt numFmtId="174" formatCode="\+#,##0.00&quot; €&quot;;\-#,##0.00&quot; €&quot;;0.00&quot; €&quot;"/>
    <numFmt numFmtId="175" formatCode="\+0.0&quot; pts&quot;;\-0.0&quot; pts&quot;;0.0&quot; pts&quot;"/>
    <numFmt numFmtId="176" formatCode="#,##0&quot; h&quot;"/>
    <numFmt numFmtId="177" formatCode="\+#,##0&quot; h&quot;;\-#,##0&quot; h&quot;;0&quot; h&quot;"/>
    <numFmt numFmtId="178" formatCode="#,##0.00&quot; €/h&quot;"/>
    <numFmt numFmtId="179" formatCode="\+0.00&quot; €/h&quot;;\-0.00&quot; €/h&quot;;0.00&quot; €/h&quot;"/>
    <numFmt numFmtId="180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i val="true"/>
      <sz val="10"/>
      <color rgb="FF64748B"/>
      <name val="Arial"/>
      <family val="0"/>
      <charset val="1"/>
    </font>
    <font>
      <b val="true"/>
      <sz val="11"/>
      <color rgb="FF1A3A5C"/>
      <name val="Arial"/>
      <family val="0"/>
      <charset val="1"/>
    </font>
    <font>
      <sz val="10"/>
      <color rgb="FF3341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37B795"/>
      <name val="Arial"/>
      <family val="0"/>
      <charset val="1"/>
    </font>
    <font>
      <b val="true"/>
      <sz val="10"/>
      <color rgb="FF1E6FB5"/>
      <name val="Arial"/>
      <family val="0"/>
      <charset val="1"/>
    </font>
    <font>
      <b val="true"/>
      <sz val="10"/>
      <color rgb="FFF97316"/>
      <name val="Arial"/>
      <family val="0"/>
      <charset val="1"/>
    </font>
    <font>
      <b val="true"/>
      <sz val="10"/>
      <color rgb="FF1A3A5C"/>
      <name val="Arial"/>
      <family val="0"/>
      <charset val="1"/>
    </font>
    <font>
      <b val="true"/>
      <sz val="10"/>
      <color rgb="FF334155"/>
      <name val="Arial"/>
      <family val="0"/>
      <charset val="1"/>
    </font>
    <font>
      <sz val="10"/>
      <color rgb="FF1E6FB5"/>
      <name val="Consolas"/>
      <family val="0"/>
      <charset val="1"/>
    </font>
    <font>
      <i val="true"/>
      <sz val="9"/>
      <color rgb="FF64748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A3A5C"/>
        <bgColor rgb="FF334155"/>
      </patternFill>
    </fill>
    <fill>
      <patternFill patternType="solid">
        <fgColor rgb="FFF4F8FC"/>
        <bgColor rgb="FFFFFFFF"/>
      </patternFill>
    </fill>
    <fill>
      <patternFill patternType="solid">
        <fgColor rgb="FFFFF2B3"/>
        <bgColor rgb="FFFFE8B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 style="thin">
        <color rgb="FFCBD5E1"/>
      </left>
      <right/>
      <top style="thin">
        <color rgb="FFCBD5E1"/>
      </top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2" shrinkToFit="false"/>
      <protection locked="true" hidden="false"/>
    </xf>
    <xf numFmtId="164" fontId="10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1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9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0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b val="1"/>
        <color rgb="FF006100"/>
      </font>
      <fill>
        <patternFill>
          <bgColor rgb="FFC6EFCE"/>
        </patternFill>
      </fill>
    </dxf>
    <dxf>
      <font>
        <b val="1"/>
        <color rgb="FF8A5A00"/>
      </font>
      <fill>
        <patternFill>
          <bgColor rgb="FFFFE8B3"/>
        </patternFill>
      </fill>
    </dxf>
    <dxf>
      <font>
        <b val="1"/>
        <color rgb="FFB91C1C"/>
      </font>
      <fill>
        <patternFill>
          <bgColor rgb="FFFD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A5A00"/>
      <rgbColor rgb="FF800080"/>
      <rgbColor rgb="FF008080"/>
      <rgbColor rgb="FFC0C0C0"/>
      <rgbColor rgb="FF808080"/>
      <rgbColor rgb="FF9999FF"/>
      <rgbColor rgb="FF993366"/>
      <rgbColor rgb="FFFFF2B3"/>
      <rgbColor rgb="FFF4F8FC"/>
      <rgbColor rgb="FF660066"/>
      <rgbColor rgb="FFFF8080"/>
      <rgbColor rgb="FF1E6FB5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8B3"/>
      <rgbColor rgb="FF99CCFF"/>
      <rgbColor rgb="FFFF99CC"/>
      <rgbColor rgb="FFCC99FF"/>
      <rgbColor rgb="FFFDE2E2"/>
      <rgbColor rgb="FF3366FF"/>
      <rgbColor rgb="FF37B795"/>
      <rgbColor rgb="FF99CC00"/>
      <rgbColor rgb="FFFFCC00"/>
      <rgbColor rgb="FFFF9900"/>
      <rgbColor rgb="FFF97316"/>
      <rgbColor rgb="FF64748B"/>
      <rgbColor rgb="FF969696"/>
      <rgbColor rgb="FF1A3A5C"/>
      <rgbColor rgb="FF339966"/>
      <rgbColor rgb="FF003300"/>
      <rgbColor rgb="FF333300"/>
      <rgbColor rgb="FFB91C1C"/>
      <rgbColor rgb="FF993366"/>
      <rgbColor rgb="FF333399"/>
      <rgbColor rgb="FF3341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3A5C"/>
    <pageSetUpPr fitToPage="false"/>
  </sheetPr>
  <dimension ref="A1:L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"/>
    <col collapsed="false" customWidth="true" hidden="false" outlineLevel="0" max="3" min="3" style="0" width="30"/>
    <col collapsed="false" customWidth="true" hidden="false" outlineLevel="0" max="4" min="4" style="0" width="52"/>
    <col collapsed="false" customWidth="true" hidden="false" outlineLevel="0" max="12" min="5" style="0" width="1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B4" s="3" t="s">
        <v>2</v>
      </c>
    </row>
    <row r="5" customFormat="false" ht="27" hidden="false" customHeight="true" outlineLevel="0" collapsed="false">
      <c r="B5" s="4" t="s">
        <v>3</v>
      </c>
      <c r="C5" s="4"/>
      <c r="D5" s="4"/>
      <c r="E5" s="4"/>
      <c r="F5" s="4"/>
      <c r="G5" s="4"/>
      <c r="H5" s="4"/>
      <c r="I5" s="4"/>
      <c r="J5" s="4"/>
      <c r="K5" s="4"/>
      <c r="L5" s="4"/>
    </row>
    <row r="6" customFormat="false" ht="27" hidden="false" customHeight="true" outlineLevel="0" collapsed="false">
      <c r="B6" s="4" t="s">
        <v>4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customFormat="false" ht="27" hidden="false" customHeight="true" outlineLevel="0" collapsed="false">
      <c r="B7" s="4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</row>
    <row r="9" customFormat="false" ht="30" hidden="false" customHeight="true" outlineLevel="0" collapsed="false">
      <c r="B9" s="5" t="s">
        <v>6</v>
      </c>
      <c r="C9" s="5" t="s">
        <v>7</v>
      </c>
      <c r="D9" s="5" t="s">
        <v>8</v>
      </c>
      <c r="E9" s="5" t="s">
        <v>9</v>
      </c>
    </row>
    <row r="10" customFormat="false" ht="15" hidden="false" customHeight="false" outlineLevel="0" collapsed="false">
      <c r="B10" s="6" t="s">
        <v>10</v>
      </c>
      <c r="C10" s="7" t="s">
        <v>11</v>
      </c>
      <c r="D10" s="7" t="s">
        <v>12</v>
      </c>
      <c r="E10" s="6" t="s">
        <v>13</v>
      </c>
    </row>
    <row r="11" customFormat="false" ht="15" hidden="false" customHeight="false" outlineLevel="0" collapsed="false">
      <c r="B11" s="6" t="s">
        <v>14</v>
      </c>
      <c r="C11" s="7" t="s">
        <v>15</v>
      </c>
      <c r="D11" s="7" t="s">
        <v>16</v>
      </c>
      <c r="E11" s="6" t="s">
        <v>17</v>
      </c>
    </row>
  </sheetData>
  <mergeCells count="5">
    <mergeCell ref="A1:L1"/>
    <mergeCell ref="A2:L2"/>
    <mergeCell ref="B5:L5"/>
    <mergeCell ref="B6:L6"/>
    <mergeCell ref="B7:L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B795"/>
    <pageSetUpPr fitToPage="true"/>
  </sheetPr>
  <dimension ref="A1:I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0"/>
    <col collapsed="false" customWidth="true" hidden="false" outlineLevel="0" max="6" min="3" style="0" width="15"/>
    <col collapsed="false" customWidth="true" hidden="false" outlineLevel="0" max="7" min="7" style="0" width="3"/>
    <col collapsed="false" customWidth="true" hidden="false" outlineLevel="0" max="8" min="8" style="0" width="16"/>
    <col collapsed="false" customWidth="true" hidden="false" outlineLevel="0" max="9" min="9" style="0" width="50"/>
  </cols>
  <sheetData>
    <row r="1" customFormat="false" ht="30" hidden="false" customHeight="true" outlineLevel="0" collapsed="false">
      <c r="A1" s="1" t="s">
        <v>18</v>
      </c>
      <c r="B1" s="1"/>
      <c r="C1" s="1"/>
      <c r="D1" s="1"/>
      <c r="E1" s="1"/>
      <c r="F1" s="1"/>
      <c r="G1" s="1"/>
      <c r="H1" s="1"/>
      <c r="I1" s="1"/>
    </row>
    <row r="2" customFormat="false" ht="18" hidden="false" customHeight="true" outlineLevel="0" collapsed="false">
      <c r="A2" s="2" t="s">
        <v>19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false" outlineLevel="0" collapsed="false">
      <c r="A4" s="8" t="s">
        <v>20</v>
      </c>
      <c r="B4" s="8"/>
      <c r="C4" s="8"/>
      <c r="D4" s="8"/>
      <c r="E4" s="8"/>
      <c r="F4" s="8"/>
      <c r="G4" s="8"/>
      <c r="H4" s="8"/>
      <c r="I4" s="8"/>
    </row>
    <row r="5" customFormat="false" ht="30" hidden="false" customHeight="true" outlineLevel="0" collapsed="false">
      <c r="A5" s="9" t="s">
        <v>21</v>
      </c>
      <c r="B5" s="9"/>
      <c r="C5" s="9"/>
      <c r="D5" s="9"/>
      <c r="E5" s="9"/>
      <c r="F5" s="9"/>
      <c r="G5" s="9"/>
      <c r="H5" s="9"/>
      <c r="I5" s="9"/>
    </row>
    <row r="6" customFormat="false" ht="15" hidden="false" customHeight="false" outlineLevel="0" collapsed="false">
      <c r="A6" s="10" t="s">
        <v>22</v>
      </c>
      <c r="B6" s="10"/>
      <c r="C6" s="10"/>
      <c r="D6" s="10"/>
      <c r="E6" s="10"/>
      <c r="F6" s="10"/>
      <c r="G6" s="10"/>
      <c r="H6" s="10"/>
      <c r="I6" s="10"/>
    </row>
    <row r="7" customFormat="false" ht="30" hidden="false" customHeight="true" outlineLevel="0" collapsed="false">
      <c r="A7" s="9" t="s">
        <v>23</v>
      </c>
      <c r="B7" s="9"/>
      <c r="C7" s="9"/>
      <c r="D7" s="9"/>
      <c r="E7" s="9"/>
      <c r="F7" s="9"/>
      <c r="G7" s="9"/>
      <c r="H7" s="9"/>
      <c r="I7" s="9"/>
    </row>
    <row r="8" customFormat="false" ht="15" hidden="false" customHeight="false" outlineLevel="0" collapsed="false">
      <c r="A8" s="11" t="s">
        <v>24</v>
      </c>
      <c r="B8" s="11"/>
      <c r="C8" s="11"/>
      <c r="D8" s="11"/>
      <c r="E8" s="11"/>
      <c r="F8" s="11"/>
      <c r="G8" s="11"/>
      <c r="H8" s="11"/>
      <c r="I8" s="11"/>
    </row>
    <row r="9" customFormat="false" ht="30" hidden="false" customHeight="true" outlineLevel="0" collapsed="false">
      <c r="A9" s="9" t="s">
        <v>25</v>
      </c>
      <c r="B9" s="9"/>
      <c r="C9" s="9"/>
      <c r="D9" s="9"/>
      <c r="E9" s="9"/>
      <c r="F9" s="9"/>
      <c r="G9" s="9"/>
      <c r="H9" s="9"/>
      <c r="I9" s="9"/>
    </row>
    <row r="14" customFormat="false" ht="15" hidden="false" customHeight="false" outlineLevel="0" collapsed="false">
      <c r="B14" s="12" t="s">
        <v>26</v>
      </c>
      <c r="H14" s="12" t="s">
        <v>27</v>
      </c>
    </row>
    <row r="15" customFormat="false" ht="30" hidden="false" customHeight="true" outlineLevel="0" collapsed="false">
      <c r="B15" s="7" t="s">
        <v>28</v>
      </c>
      <c r="C15" s="13" t="n">
        <v>200</v>
      </c>
      <c r="H15" s="14" t="s">
        <v>29</v>
      </c>
      <c r="I15" s="15" t="s">
        <v>30</v>
      </c>
    </row>
    <row r="16" customFormat="false" ht="30" hidden="false" customHeight="true" outlineLevel="0" collapsed="false">
      <c r="B16" s="7" t="s">
        <v>31</v>
      </c>
      <c r="C16" s="13" t="n">
        <v>300</v>
      </c>
      <c r="H16" s="14" t="s">
        <v>32</v>
      </c>
      <c r="I16" s="15" t="s">
        <v>33</v>
      </c>
    </row>
    <row r="17" customFormat="false" ht="30" hidden="false" customHeight="true" outlineLevel="0" collapsed="false">
      <c r="B17" s="7" t="s">
        <v>34</v>
      </c>
      <c r="C17" s="13" t="n">
        <v>100</v>
      </c>
      <c r="H17" s="14" t="s">
        <v>35</v>
      </c>
      <c r="I17" s="15" t="s">
        <v>36</v>
      </c>
    </row>
    <row r="18" customFormat="false" ht="30" hidden="false" customHeight="true" outlineLevel="0" collapsed="false">
      <c r="B18" s="7" t="s">
        <v>37</v>
      </c>
      <c r="C18" s="13" t="n">
        <v>180</v>
      </c>
      <c r="H18" s="14" t="s">
        <v>38</v>
      </c>
      <c r="I18" s="15" t="s">
        <v>39</v>
      </c>
    </row>
    <row r="19" customFormat="false" ht="30" hidden="false" customHeight="true" outlineLevel="0" collapsed="false">
      <c r="B19" s="16" t="s">
        <v>40</v>
      </c>
      <c r="C19" s="17" t="n">
        <f aca="false">SUM(C15:C18)</f>
        <v>780</v>
      </c>
      <c r="H19" s="14" t="s">
        <v>41</v>
      </c>
      <c r="I19" s="15" t="s">
        <v>42</v>
      </c>
    </row>
    <row r="20" customFormat="false" ht="30" hidden="false" customHeight="true" outlineLevel="0" collapsed="false">
      <c r="B20" s="7" t="s">
        <v>43</v>
      </c>
      <c r="C20" s="13" t="n">
        <v>10</v>
      </c>
      <c r="H20" s="14" t="s">
        <v>44</v>
      </c>
      <c r="I20" s="15" t="s">
        <v>45</v>
      </c>
    </row>
    <row r="21" customFormat="false" ht="30" hidden="false" customHeight="true" outlineLevel="0" collapsed="false">
      <c r="B21" s="7" t="s">
        <v>46</v>
      </c>
      <c r="C21" s="18" t="n">
        <v>100</v>
      </c>
      <c r="H21" s="14" t="s">
        <v>47</v>
      </c>
      <c r="I21" s="15" t="s">
        <v>48</v>
      </c>
    </row>
    <row r="22" customFormat="false" ht="15" hidden="false" customHeight="false" outlineLevel="0" collapsed="false">
      <c r="B22" s="16" t="s">
        <v>49</v>
      </c>
      <c r="C22" s="17" t="n">
        <f aca="false">C19+C20*C21</f>
        <v>1780</v>
      </c>
    </row>
    <row r="24" customFormat="false" ht="15" hidden="false" customHeight="false" outlineLevel="0" collapsed="false">
      <c r="B24" s="7" t="s">
        <v>50</v>
      </c>
      <c r="C24" s="13" t="n">
        <v>150</v>
      </c>
    </row>
    <row r="25" customFormat="false" ht="15" hidden="false" customHeight="false" outlineLevel="0" collapsed="false">
      <c r="B25" s="7" t="s">
        <v>51</v>
      </c>
      <c r="C25" s="17" t="n">
        <f aca="false">C24-C20</f>
        <v>140</v>
      </c>
    </row>
    <row r="26" customFormat="false" ht="15" hidden="false" customHeight="false" outlineLevel="0" collapsed="false">
      <c r="B26" s="16" t="s">
        <v>52</v>
      </c>
      <c r="C26" s="19" t="n">
        <f aca="false">ROUNDUP(C22/C25,0)</f>
        <v>13</v>
      </c>
      <c r="D26" s="20" t="s">
        <v>53</v>
      </c>
      <c r="E26" s="21" t="n">
        <f aca="false">C21+C26</f>
        <v>113</v>
      </c>
    </row>
    <row r="28" customFormat="false" ht="15" hidden="false" customHeight="false" outlineLevel="0" collapsed="false">
      <c r="B28" s="12" t="s">
        <v>54</v>
      </c>
    </row>
    <row r="29" customFormat="false" ht="30" hidden="false" customHeight="true" outlineLevel="0" collapsed="false">
      <c r="B29" s="5" t="s">
        <v>55</v>
      </c>
      <c r="C29" s="5" t="s">
        <v>56</v>
      </c>
      <c r="D29" s="5" t="s">
        <v>57</v>
      </c>
      <c r="E29" s="5" t="s">
        <v>58</v>
      </c>
      <c r="F29" s="5" t="s">
        <v>59</v>
      </c>
    </row>
    <row r="30" customFormat="false" ht="27.75" hidden="false" customHeight="true" outlineLevel="0" collapsed="false">
      <c r="B30" s="22" t="s">
        <v>60</v>
      </c>
      <c r="C30" s="23" t="n">
        <f aca="false">10*19*20%/1.1</f>
        <v>34.5454545454545</v>
      </c>
      <c r="D30" s="17" t="n">
        <f aca="false">$C$19+C30*$C$21</f>
        <v>4234.54545454545</v>
      </c>
      <c r="E30" s="23" t="n">
        <f aca="false">$C$24-C30</f>
        <v>115.454545454545</v>
      </c>
      <c r="F30" s="19" t="n">
        <f aca="false">ROUNDUP(D30/E30,0)</f>
        <v>37</v>
      </c>
    </row>
    <row r="31" customFormat="false" ht="27.75" hidden="false" customHeight="true" outlineLevel="0" collapsed="false">
      <c r="B31" s="22" t="s">
        <v>61</v>
      </c>
      <c r="C31" s="23" t="n">
        <f aca="false">10*19*10%/1.1</f>
        <v>17.2727272727273</v>
      </c>
      <c r="D31" s="17" t="n">
        <f aca="false">$C$19+C31*$C$21</f>
        <v>2507.27272727273</v>
      </c>
      <c r="E31" s="23" t="n">
        <f aca="false">$C$24-C31</f>
        <v>132.727272727273</v>
      </c>
      <c r="F31" s="19" t="n">
        <f aca="false">ROUNDUP(D31/E31,0)</f>
        <v>19</v>
      </c>
    </row>
    <row r="32" customFormat="false" ht="27.75" hidden="false" customHeight="true" outlineLevel="0" collapsed="false">
      <c r="B32" s="22" t="s">
        <v>62</v>
      </c>
      <c r="C32" s="24" t="n">
        <f aca="false">C20</f>
        <v>10</v>
      </c>
      <c r="D32" s="17" t="n">
        <f aca="false">$C$19+C32*$C$21</f>
        <v>1780</v>
      </c>
      <c r="E32" s="23" t="n">
        <f aca="false">$C$24-C32</f>
        <v>140</v>
      </c>
      <c r="F32" s="19" t="n">
        <f aca="false">ROUNDUP(D32/E32,0)</f>
        <v>13</v>
      </c>
    </row>
    <row r="33" customFormat="false" ht="15" hidden="false" customHeight="true" outlineLevel="0" collapsed="false">
      <c r="B33" s="16" t="s">
        <v>63</v>
      </c>
      <c r="C33" s="25" t="s">
        <v>64</v>
      </c>
      <c r="D33" s="25"/>
      <c r="E33" s="25"/>
      <c r="F33" s="25"/>
    </row>
    <row r="34" customFormat="false" ht="15" hidden="false" customHeight="false" outlineLevel="0" collapsed="false">
      <c r="C34" s="25"/>
      <c r="D34" s="25"/>
      <c r="E34" s="25"/>
      <c r="F34" s="25"/>
    </row>
    <row r="36" customFormat="false" ht="15" hidden="false" customHeight="false" outlineLevel="0" collapsed="false">
      <c r="B36" s="26" t="s">
        <v>65</v>
      </c>
      <c r="H36" s="16" t="s">
        <v>66</v>
      </c>
    </row>
    <row r="37" customFormat="false" ht="15" hidden="false" customHeight="true" outlineLevel="0" collapsed="false">
      <c r="B37" s="7" t="s">
        <v>67</v>
      </c>
      <c r="C37" s="18" t="n">
        <v>118</v>
      </c>
      <c r="I37" s="27" t="s">
        <v>68</v>
      </c>
    </row>
    <row r="38" customFormat="false" ht="15" hidden="false" customHeight="false" outlineLevel="0" collapsed="false">
      <c r="B38" s="7" t="s">
        <v>69</v>
      </c>
      <c r="C38" s="28" t="n">
        <f aca="false">C37/115</f>
        <v>1.02608695652174</v>
      </c>
      <c r="I38" s="27"/>
    </row>
    <row r="39" customFormat="false" ht="15" hidden="false" customHeight="false" outlineLevel="0" collapsed="false">
      <c r="B39" s="7" t="s">
        <v>70</v>
      </c>
      <c r="C39" s="19" t="n">
        <f aca="false">C37-C21</f>
        <v>18</v>
      </c>
      <c r="I39" s="27"/>
    </row>
    <row r="40" customFormat="false" ht="27.75" hidden="false" customHeight="true" outlineLevel="0" collapsed="false">
      <c r="B40" s="29" t="s">
        <v>71</v>
      </c>
      <c r="C40" s="30" t="n">
        <f aca="false">C39*C25-C22</f>
        <v>740</v>
      </c>
      <c r="I40" s="27"/>
    </row>
    <row r="43" customFormat="false" ht="15" hidden="false" customHeight="false" outlineLevel="0" collapsed="false">
      <c r="B43" s="31" t="s">
        <v>72</v>
      </c>
    </row>
    <row r="44" customFormat="false" ht="15" hidden="false" customHeight="false" outlineLevel="0" collapsed="false">
      <c r="B44" s="31" t="s">
        <v>73</v>
      </c>
    </row>
    <row r="45" customFormat="false" ht="15" hidden="false" customHeight="false" outlineLevel="0" collapsed="false">
      <c r="B45" s="31" t="s">
        <v>74</v>
      </c>
    </row>
  </sheetData>
  <mergeCells count="10">
    <mergeCell ref="A1:I1"/>
    <mergeCell ref="A2:I2"/>
    <mergeCell ref="A4:I4"/>
    <mergeCell ref="A5:I5"/>
    <mergeCell ref="A6:I6"/>
    <mergeCell ref="A7:I7"/>
    <mergeCell ref="A8:I8"/>
    <mergeCell ref="A9:I9"/>
    <mergeCell ref="C33:F34"/>
    <mergeCell ref="I37:I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3A5C"/>
    <pageSetUpPr fitToPage="tru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6"/>
    <col collapsed="false" customWidth="true" hidden="false" outlineLevel="0" max="5" min="4" style="0" width="13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9" min="8" style="0" width="13"/>
    <col collapsed="false" customWidth="true" hidden="false" outlineLevel="0" max="10" min="10" style="0" width="11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</cols>
  <sheetData>
    <row r="1" customFormat="false" ht="30" hidden="false" customHeight="true" outlineLevel="0" collapsed="false">
      <c r="A1" s="1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8" hidden="false" customHeight="true" outlineLevel="0" collapsed="false">
      <c r="A2" s="2" t="s">
        <v>76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customFormat="false" ht="15" hidden="false" customHeight="false" outlineLevel="0" collapsed="false">
      <c r="A4" s="8" t="s">
        <v>20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customFormat="false" ht="30" hidden="false" customHeight="true" outlineLevel="0" collapsed="false">
      <c r="A5" s="9" t="s">
        <v>77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customFormat="false" ht="15" hidden="false" customHeight="false" outlineLevel="0" collapsed="false">
      <c r="A6" s="10" t="s">
        <v>22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customFormat="false" ht="15" hidden="false" customHeight="true" outlineLevel="0" collapsed="false">
      <c r="A7" s="9" t="s">
        <v>78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customFormat="false" ht="15" hidden="false" customHeight="false" outlineLevel="0" collapsed="false">
      <c r="A8" s="11" t="s">
        <v>24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customFormat="false" ht="30" hidden="false" customHeight="true" outlineLevel="0" collapsed="false">
      <c r="A9" s="9" t="s">
        <v>79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4" customFormat="false" ht="30" hidden="false" customHeight="true" outlineLevel="0" collapsed="false">
      <c r="B14" s="5" t="s">
        <v>80</v>
      </c>
      <c r="C14" s="5" t="s">
        <v>81</v>
      </c>
      <c r="D14" s="5" t="s">
        <v>82</v>
      </c>
      <c r="E14" s="5" t="s">
        <v>83</v>
      </c>
      <c r="F14" s="5" t="s">
        <v>84</v>
      </c>
      <c r="G14" s="5" t="s">
        <v>85</v>
      </c>
      <c r="H14" s="5" t="s">
        <v>86</v>
      </c>
      <c r="I14" s="5" t="s">
        <v>87</v>
      </c>
      <c r="J14" s="5" t="s">
        <v>88</v>
      </c>
      <c r="L14" s="5" t="s">
        <v>89</v>
      </c>
      <c r="M14" s="5" t="s">
        <v>90</v>
      </c>
    </row>
    <row r="15" customFormat="false" ht="15" hidden="false" customHeight="false" outlineLevel="0" collapsed="false">
      <c r="B15" s="16" t="s">
        <v>91</v>
      </c>
      <c r="C15" s="32" t="s">
        <v>92</v>
      </c>
      <c r="D15" s="13" t="n">
        <v>108000</v>
      </c>
      <c r="E15" s="17" t="n">
        <f aca="false">SUM(M15:M19)</f>
        <v>108480</v>
      </c>
      <c r="F15" s="30" t="n">
        <f aca="false">E15-D15</f>
        <v>480</v>
      </c>
      <c r="G15" s="33" t="n">
        <f aca="false">E15/D15</f>
        <v>1.00444444444444</v>
      </c>
      <c r="H15" s="13" t="n">
        <v>102650</v>
      </c>
      <c r="I15" s="34" t="n">
        <f aca="false">E15/H15-1</f>
        <v>0.0567949342425718</v>
      </c>
      <c r="J15" s="35" t="str">
        <f aca="false">IF(C15="↑",IF(G15&gt;=1,"Vert",IF(G15&gt;=0.95,"Orange","Rouge")),IF(G15&lt;=1,"Vert",IF(G15&lt;=1.05,"Orange","Rouge")))</f>
        <v>Vert</v>
      </c>
      <c r="L15" s="7" t="s">
        <v>93</v>
      </c>
      <c r="M15" s="13" t="n">
        <v>57200</v>
      </c>
    </row>
    <row r="16" customFormat="false" ht="15" hidden="false" customHeight="false" outlineLevel="0" collapsed="false">
      <c r="B16" s="7" t="s">
        <v>93</v>
      </c>
      <c r="C16" s="32" t="s">
        <v>92</v>
      </c>
      <c r="D16" s="13" t="n">
        <v>56000</v>
      </c>
      <c r="E16" s="13" t="n">
        <f aca="false">M15</f>
        <v>57200</v>
      </c>
      <c r="F16" s="30" t="n">
        <f aca="false">E16-D16</f>
        <v>1200</v>
      </c>
      <c r="G16" s="33" t="n">
        <f aca="false">E16/D16</f>
        <v>1.02142857142857</v>
      </c>
      <c r="H16" s="13" t="n">
        <v>54300</v>
      </c>
      <c r="I16" s="34" t="n">
        <f aca="false">E16/H16-1</f>
        <v>0.0534069981583794</v>
      </c>
      <c r="J16" s="35" t="str">
        <f aca="false">IF(C16="↑",IF(G16&gt;=1,"Vert",IF(G16&gt;=0.95,"Orange","Rouge")),IF(G16&lt;=1,"Vert",IF(G16&lt;=1.05,"Orange","Rouge")))</f>
        <v>Vert</v>
      </c>
      <c r="L16" s="7" t="s">
        <v>94</v>
      </c>
      <c r="M16" s="13" t="n">
        <v>17890</v>
      </c>
    </row>
    <row r="17" customFormat="false" ht="15" hidden="false" customHeight="false" outlineLevel="0" collapsed="false">
      <c r="B17" s="7" t="s">
        <v>94</v>
      </c>
      <c r="C17" s="32" t="s">
        <v>92</v>
      </c>
      <c r="D17" s="13" t="n">
        <v>19500</v>
      </c>
      <c r="E17" s="13" t="n">
        <f aca="false">M16</f>
        <v>17890</v>
      </c>
      <c r="F17" s="30" t="n">
        <f aca="false">E17-D17</f>
        <v>-1610</v>
      </c>
      <c r="G17" s="33" t="n">
        <f aca="false">E17/D17</f>
        <v>0.917435897435898</v>
      </c>
      <c r="H17" s="13" t="n">
        <v>18640</v>
      </c>
      <c r="I17" s="34" t="n">
        <f aca="false">E17/H17-1</f>
        <v>-0.0402360515021459</v>
      </c>
      <c r="J17" s="35" t="str">
        <f aca="false">IF(C17="↑",IF(G17&gt;=1,"Vert",IF(G17&gt;=0.95,"Orange","Rouge")),IF(G17&lt;=1,"Vert",IF(G17&lt;=1.05,"Orange","Rouge")))</f>
        <v>Rouge</v>
      </c>
      <c r="L17" s="7" t="s">
        <v>95</v>
      </c>
      <c r="M17" s="13" t="n">
        <v>21950</v>
      </c>
    </row>
    <row r="18" customFormat="false" ht="15" hidden="false" customHeight="false" outlineLevel="0" collapsed="false">
      <c r="B18" s="7" t="s">
        <v>95</v>
      </c>
      <c r="C18" s="32" t="s">
        <v>92</v>
      </c>
      <c r="D18" s="13" t="n">
        <v>20500</v>
      </c>
      <c r="E18" s="13" t="n">
        <f aca="false">M17</f>
        <v>21950</v>
      </c>
      <c r="F18" s="30" t="n">
        <f aca="false">E18-D18</f>
        <v>1450</v>
      </c>
      <c r="G18" s="33" t="n">
        <f aca="false">E18/D18</f>
        <v>1.07073170731707</v>
      </c>
      <c r="H18" s="13" t="n">
        <v>18900</v>
      </c>
      <c r="I18" s="34" t="n">
        <f aca="false">E18/H18-1</f>
        <v>0.161375661375661</v>
      </c>
      <c r="J18" s="35" t="str">
        <f aca="false">IF(C18="↑",IF(G18&gt;=1,"Vert",IF(G18&gt;=0.95,"Orange","Rouge")),IF(G18&lt;=1,"Vert",IF(G18&lt;=1.05,"Orange","Rouge")))</f>
        <v>Vert</v>
      </c>
      <c r="L18" s="7" t="s">
        <v>96</v>
      </c>
      <c r="M18" s="13" t="n">
        <v>6120</v>
      </c>
    </row>
    <row r="19" customFormat="false" ht="15" hidden="false" customHeight="false" outlineLevel="0" collapsed="false">
      <c r="B19" s="7" t="s">
        <v>96</v>
      </c>
      <c r="C19" s="32" t="s">
        <v>92</v>
      </c>
      <c r="D19" s="13" t="n">
        <v>6000</v>
      </c>
      <c r="E19" s="13" t="n">
        <f aca="false">M18</f>
        <v>6120</v>
      </c>
      <c r="F19" s="30" t="n">
        <f aca="false">E19-D19</f>
        <v>120</v>
      </c>
      <c r="G19" s="33" t="n">
        <f aca="false">E19/D19</f>
        <v>1.02</v>
      </c>
      <c r="H19" s="13" t="n">
        <v>6310</v>
      </c>
      <c r="I19" s="34" t="n">
        <f aca="false">E19/H19-1</f>
        <v>-0.0301109350237718</v>
      </c>
      <c r="J19" s="35" t="str">
        <f aca="false">IF(C19="↑",IF(G19&gt;=1,"Vert",IF(G19&gt;=0.95,"Orange","Rouge")),IF(G19&lt;=1,"Vert",IF(G19&lt;=1.05,"Orange","Rouge")))</f>
        <v>Vert</v>
      </c>
      <c r="L19" s="7" t="s">
        <v>97</v>
      </c>
      <c r="M19" s="13" t="n">
        <v>5320</v>
      </c>
    </row>
    <row r="20" customFormat="false" ht="15" hidden="false" customHeight="false" outlineLevel="0" collapsed="false">
      <c r="B20" s="7" t="s">
        <v>97</v>
      </c>
      <c r="C20" s="32" t="s">
        <v>92</v>
      </c>
      <c r="D20" s="13" t="n">
        <v>6000</v>
      </c>
      <c r="E20" s="13" t="n">
        <f aca="false">M19</f>
        <v>5320</v>
      </c>
      <c r="F20" s="30" t="n">
        <f aca="false">E20-D20</f>
        <v>-680</v>
      </c>
      <c r="G20" s="33" t="n">
        <f aca="false">E20/D20</f>
        <v>0.886666666666667</v>
      </c>
      <c r="H20" s="13" t="n">
        <v>4500</v>
      </c>
      <c r="I20" s="34" t="n">
        <f aca="false">E20/H20-1</f>
        <v>0.182222222222222</v>
      </c>
      <c r="J20" s="35" t="str">
        <f aca="false">IF(C20="↑",IF(G20&gt;=1,"Vert",IF(G20&gt;=0.95,"Orange","Rouge")),IF(G20&lt;=1,"Vert",IF(G20&lt;=1.05,"Orange","Rouge")))</f>
        <v>Rouge</v>
      </c>
      <c r="L20" s="7" t="s">
        <v>98</v>
      </c>
      <c r="M20" s="36" t="n">
        <v>7480</v>
      </c>
    </row>
    <row r="21" customFormat="false" ht="15" hidden="false" customHeight="false" outlineLevel="0" collapsed="false">
      <c r="B21" s="7" t="s">
        <v>98</v>
      </c>
      <c r="C21" s="32" t="s">
        <v>92</v>
      </c>
      <c r="D21" s="36" t="n">
        <v>7400</v>
      </c>
      <c r="E21" s="36" t="n">
        <f aca="false">M20</f>
        <v>7480</v>
      </c>
      <c r="F21" s="37" t="n">
        <f aca="false">E21-D21</f>
        <v>80</v>
      </c>
      <c r="G21" s="33" t="n">
        <f aca="false">E21/D21</f>
        <v>1.01081081081081</v>
      </c>
      <c r="H21" s="36" t="n">
        <v>7120</v>
      </c>
      <c r="I21" s="34" t="n">
        <f aca="false">E21/H21-1</f>
        <v>0.050561797752809</v>
      </c>
      <c r="J21" s="35" t="str">
        <f aca="false">IF(C21="↑",IF(G21&gt;=1,"Vert",IF(G21&gt;=0.95,"Orange","Rouge")),IF(G21&lt;=1,"Vert",IF(G21&lt;=1.05,"Orange","Rouge")))</f>
        <v>Vert</v>
      </c>
      <c r="L21" s="7" t="s">
        <v>99</v>
      </c>
      <c r="M21" s="36" t="n">
        <v>2920</v>
      </c>
    </row>
    <row r="22" customFormat="false" ht="15" hidden="false" customHeight="false" outlineLevel="0" collapsed="false">
      <c r="B22" s="7" t="s">
        <v>100</v>
      </c>
      <c r="C22" s="32" t="s">
        <v>92</v>
      </c>
      <c r="D22" s="24" t="n">
        <v>14.6</v>
      </c>
      <c r="E22" s="23" t="n">
        <f aca="false">E15/M20</f>
        <v>14.5026737967914</v>
      </c>
      <c r="F22" s="38" t="n">
        <f aca="false">E22-D22</f>
        <v>-0.0973262032085565</v>
      </c>
      <c r="G22" s="33" t="n">
        <f aca="false">E22/D22</f>
        <v>0.993333821698044</v>
      </c>
      <c r="H22" s="24" t="n">
        <v>14.4171</v>
      </c>
      <c r="I22" s="34" t="n">
        <f aca="false">E22/H22-1</f>
        <v>0.00593557628035057</v>
      </c>
      <c r="J22" s="35" t="str">
        <f aca="false">IF(C22="↑",IF(G22&gt;=1,"Vert",IF(G22&gt;=0.95,"Orange","Rouge")),IF(G22&lt;=1,"Vert",IF(G22&lt;=1.05,"Orange","Rouge")))</f>
        <v>Orange</v>
      </c>
      <c r="L22" s="7" t="s">
        <v>101</v>
      </c>
      <c r="M22" s="18" t="n">
        <v>92</v>
      </c>
    </row>
    <row r="23" customFormat="false" ht="15" hidden="false" customHeight="false" outlineLevel="0" collapsed="false">
      <c r="B23" s="7" t="s">
        <v>102</v>
      </c>
      <c r="C23" s="32" t="s">
        <v>92</v>
      </c>
      <c r="D23" s="39" t="n">
        <v>0.38</v>
      </c>
      <c r="E23" s="28" t="n">
        <f aca="false">M21/M20</f>
        <v>0.390374331550802</v>
      </c>
      <c r="F23" s="40" t="n">
        <f aca="false">(E23-D23)*100</f>
        <v>1.03743315508021</v>
      </c>
      <c r="G23" s="33" t="n">
        <f aca="false">E23/D23</f>
        <v>1.02730087250211</v>
      </c>
      <c r="H23" s="39" t="n">
        <v>0.3596</v>
      </c>
      <c r="I23" s="41" t="n">
        <f aca="false">(E23-H23)*100</f>
        <v>3.07743315508022</v>
      </c>
      <c r="J23" s="35" t="str">
        <f aca="false">IF(C23="↑",IF(G23&gt;=1,"Vert",IF(G23&gt;=0.95,"Orange","Rouge")),IF(G23&lt;=1,"Vert",IF(G23&lt;=1.05,"Orange","Rouge")))</f>
        <v>Vert</v>
      </c>
      <c r="L23" s="7" t="s">
        <v>103</v>
      </c>
      <c r="M23" s="36" t="n">
        <v>1880</v>
      </c>
    </row>
    <row r="24" customFormat="false" ht="15" hidden="false" customHeight="false" outlineLevel="0" collapsed="false">
      <c r="B24" s="7" t="s">
        <v>104</v>
      </c>
      <c r="C24" s="32" t="s">
        <v>92</v>
      </c>
      <c r="D24" s="24" t="n">
        <v>7.2</v>
      </c>
      <c r="E24" s="23" t="n">
        <f aca="false">M17/M21</f>
        <v>7.51712328767123</v>
      </c>
      <c r="F24" s="38" t="n">
        <f aca="false">E24-D24</f>
        <v>0.317123287671233</v>
      </c>
      <c r="G24" s="33" t="n">
        <f aca="false">E24/D24</f>
        <v>1.04404490106545</v>
      </c>
      <c r="H24" s="24" t="n">
        <v>7.3828</v>
      </c>
      <c r="I24" s="34" t="n">
        <f aca="false">E24/H24-1</f>
        <v>0.0181940845846067</v>
      </c>
      <c r="J24" s="35" t="str">
        <f aca="false">IF(C24="↑",IF(G24&gt;=1,"Vert",IF(G24&gt;=0.95,"Orange","Rouge")),IF(G24&lt;=1,"Vert",IF(G24&lt;=1.05,"Orange","Rouge")))</f>
        <v>Vert</v>
      </c>
      <c r="L24" s="7" t="s">
        <v>105</v>
      </c>
      <c r="M24" s="18" t="n">
        <v>176</v>
      </c>
    </row>
    <row r="25" customFormat="false" ht="15" hidden="false" customHeight="false" outlineLevel="0" collapsed="false">
      <c r="B25" s="7" t="s">
        <v>101</v>
      </c>
      <c r="C25" s="32" t="s">
        <v>92</v>
      </c>
      <c r="D25" s="18" t="n">
        <v>100</v>
      </c>
      <c r="E25" s="18" t="n">
        <f aca="false">M22</f>
        <v>92</v>
      </c>
      <c r="F25" s="37" t="n">
        <f aca="false">E25-D25</f>
        <v>-8</v>
      </c>
      <c r="G25" s="33" t="n">
        <f aca="false">E25/D25</f>
        <v>0.92</v>
      </c>
      <c r="H25" s="18" t="n">
        <v>97</v>
      </c>
      <c r="I25" s="34" t="n">
        <f aca="false">E25/H25-1</f>
        <v>-0.0515463917525774</v>
      </c>
      <c r="J25" s="35" t="str">
        <f aca="false">IF(C25="↑",IF(G25&gt;=1,"Vert",IF(G25&gt;=0.95,"Orange","Rouge")),IF(G25&lt;=1,"Vert",IF(G25&lt;=1.05,"Orange","Rouge")))</f>
        <v>Rouge</v>
      </c>
    </row>
    <row r="26" customFormat="false" ht="15" hidden="false" customHeight="false" outlineLevel="0" collapsed="false">
      <c r="B26" s="7" t="s">
        <v>103</v>
      </c>
      <c r="C26" s="42" t="s">
        <v>106</v>
      </c>
      <c r="D26" s="43" t="n">
        <v>1850</v>
      </c>
      <c r="E26" s="43" t="n">
        <f aca="false">M23</f>
        <v>1880</v>
      </c>
      <c r="F26" s="44" t="n">
        <f aca="false">E26-D26</f>
        <v>30</v>
      </c>
      <c r="G26" s="33" t="n">
        <f aca="false">E26/D26</f>
        <v>1.01621621621622</v>
      </c>
      <c r="H26" s="43" t="n">
        <v>1870</v>
      </c>
      <c r="I26" s="34" t="n">
        <f aca="false">E26/H26-1</f>
        <v>0.00534759358288772</v>
      </c>
      <c r="J26" s="35" t="str">
        <f aca="false">IF(C26="↑",IF(G26&gt;=1,"Vert",IF(G26&gt;=0.95,"Orange","Rouge")),IF(G26&lt;=1,"Vert",IF(G26&lt;=1.05,"Orange","Rouge")))</f>
        <v>Orange</v>
      </c>
      <c r="L26" s="16" t="s">
        <v>107</v>
      </c>
      <c r="M26" s="35" t="str">
        <f aca="false">COUNTIF(J15:J29,"Rouge")&amp;" / "&amp;COUNTIF(J15:J29,"Orange")&amp;" / "&amp;COUNTIF(J15:J29,"Vert")</f>
        <v>3 / 4 / 8</v>
      </c>
    </row>
    <row r="27" customFormat="false" ht="15" hidden="false" customHeight="false" outlineLevel="0" collapsed="false">
      <c r="B27" s="7" t="s">
        <v>108</v>
      </c>
      <c r="C27" s="32" t="s">
        <v>92</v>
      </c>
      <c r="D27" s="45" t="n">
        <v>58</v>
      </c>
      <c r="E27" s="46" t="n">
        <f aca="false">E15/M23</f>
        <v>57.7021276595745</v>
      </c>
      <c r="F27" s="47" t="n">
        <f aca="false">E27-D27</f>
        <v>-0.297872340425535</v>
      </c>
      <c r="G27" s="33" t="n">
        <f aca="false">E27/D27</f>
        <v>0.994864269992663</v>
      </c>
      <c r="H27" s="45" t="n">
        <v>54.893</v>
      </c>
      <c r="I27" s="34" t="n">
        <f aca="false">E27/H27-1</f>
        <v>0.051174606226194</v>
      </c>
      <c r="J27" s="35" t="str">
        <f aca="false">IF(C27="↑",IF(G27&gt;=1,"Vert",IF(G27&gt;=0.95,"Orange","Rouge")),IF(G27&lt;=1,"Vert",IF(G27&lt;=1.05,"Orange","Rouge")))</f>
        <v>Orange</v>
      </c>
    </row>
    <row r="28" customFormat="false" ht="15" hidden="false" customHeight="false" outlineLevel="0" collapsed="false">
      <c r="B28" s="7" t="s">
        <v>105</v>
      </c>
      <c r="C28" s="32" t="s">
        <v>92</v>
      </c>
      <c r="D28" s="18" t="n">
        <v>180</v>
      </c>
      <c r="E28" s="18" t="n">
        <f aca="false">M24</f>
        <v>176</v>
      </c>
      <c r="F28" s="37" t="n">
        <f aca="false">E28-D28</f>
        <v>-4</v>
      </c>
      <c r="G28" s="33" t="n">
        <f aca="false">E28/D28</f>
        <v>0.977777777777778</v>
      </c>
      <c r="H28" s="18" t="n">
        <v>98</v>
      </c>
      <c r="I28" s="34" t="n">
        <f aca="false">E28/H28-1</f>
        <v>0.795918367346939</v>
      </c>
      <c r="J28" s="35" t="str">
        <f aca="false">IF(C28="↑",IF(G28&gt;=1,"Vert",IF(G28&gt;=0.95,"Orange","Rouge")),IF(G28&lt;=1,"Vert",IF(G28&lt;=1.05,"Orange","Rouge")))</f>
        <v>Orange</v>
      </c>
      <c r="L28" s="12" t="s">
        <v>109</v>
      </c>
    </row>
    <row r="29" customFormat="false" ht="27.75" hidden="false" customHeight="true" outlineLevel="0" collapsed="false">
      <c r="B29" s="7" t="s">
        <v>110</v>
      </c>
      <c r="C29" s="42" t="s">
        <v>106</v>
      </c>
      <c r="D29" s="18" t="n">
        <v>12</v>
      </c>
      <c r="E29" s="18" t="n">
        <v>7</v>
      </c>
      <c r="F29" s="37" t="n">
        <f aca="false">E29-D29</f>
        <v>-5</v>
      </c>
      <c r="G29" s="33" t="n">
        <f aca="false">E29/D29</f>
        <v>0.583333333333333</v>
      </c>
      <c r="H29" s="18" t="n">
        <v>9</v>
      </c>
      <c r="I29" s="34" t="n">
        <f aca="false">E29/H29-1</f>
        <v>-0.222222222222222</v>
      </c>
      <c r="J29" s="35" t="str">
        <f aca="false">IF(C29="↑",IF(G29&gt;=1,"Vert",IF(G29&gt;=0.95,"Orange","Rouge")),IF(G29&lt;=1,"Vert",IF(G29&lt;=1.05,"Orange","Rouge")))</f>
        <v>Vert</v>
      </c>
      <c r="L29" s="22" t="s">
        <v>111</v>
      </c>
      <c r="M29" s="23" t="n">
        <f aca="false">12/1.2</f>
        <v>10</v>
      </c>
    </row>
    <row r="30" customFormat="false" ht="15" hidden="false" customHeight="true" outlineLevel="0" collapsed="false">
      <c r="B30" s="48" t="s">
        <v>112</v>
      </c>
      <c r="L30" s="22" t="s">
        <v>113</v>
      </c>
      <c r="M30" s="23" t="n">
        <f aca="false">M29-(3.7+0.3)</f>
        <v>6</v>
      </c>
    </row>
    <row r="31" customFormat="false" ht="15" hidden="false" customHeight="true" outlineLevel="0" collapsed="false">
      <c r="L31" s="22" t="s">
        <v>114</v>
      </c>
      <c r="M31" s="28" t="n">
        <f aca="false">M30/M29</f>
        <v>0.6</v>
      </c>
    </row>
    <row r="32" customFormat="false" ht="15" hidden="false" customHeight="true" outlineLevel="0" collapsed="false">
      <c r="B32" s="26" t="s">
        <v>115</v>
      </c>
      <c r="L32" s="22" t="s">
        <v>116</v>
      </c>
      <c r="M32" s="49" t="n">
        <f aca="false">12/(3.7+0.3)</f>
        <v>3</v>
      </c>
    </row>
    <row r="33" customFormat="false" ht="27.75" hidden="false" customHeight="true" outlineLevel="0" collapsed="false">
      <c r="B33" s="25" t="s">
        <v>117</v>
      </c>
      <c r="C33" s="25"/>
      <c r="D33" s="25"/>
      <c r="E33" s="25"/>
      <c r="F33" s="25"/>
      <c r="G33" s="25"/>
      <c r="H33" s="25"/>
      <c r="I33" s="25"/>
      <c r="J33" s="25"/>
      <c r="L33" s="22" t="s">
        <v>118</v>
      </c>
      <c r="M33" s="23" t="n">
        <f aca="false">1.2/(1-60%)</f>
        <v>3</v>
      </c>
    </row>
    <row r="34" customFormat="false" ht="27.75" hidden="false" customHeight="true" outlineLevel="0" collapsed="false">
      <c r="B34" s="25"/>
      <c r="C34" s="25"/>
      <c r="D34" s="25"/>
      <c r="E34" s="25"/>
      <c r="F34" s="25"/>
      <c r="G34" s="25"/>
      <c r="H34" s="25"/>
      <c r="I34" s="25"/>
      <c r="J34" s="25"/>
      <c r="L34" s="22" t="s">
        <v>119</v>
      </c>
      <c r="M34" s="23" t="n">
        <f aca="false">19/1.1</f>
        <v>17.2727272727273</v>
      </c>
    </row>
    <row r="35" customFormat="false" ht="27.75" hidden="false" customHeight="true" outlineLevel="0" collapsed="false">
      <c r="B35" s="25"/>
      <c r="C35" s="25"/>
      <c r="D35" s="25"/>
      <c r="E35" s="25"/>
      <c r="F35" s="25"/>
      <c r="G35" s="25"/>
      <c r="H35" s="25"/>
      <c r="I35" s="25"/>
      <c r="J35" s="25"/>
      <c r="L35" s="22" t="s">
        <v>120</v>
      </c>
      <c r="M35" s="23" t="n">
        <f aca="false">(M15+M16+M17+M19)*10%+M18*20%</f>
        <v>11460</v>
      </c>
    </row>
    <row r="36" customFormat="false" ht="15" hidden="false" customHeight="true" outlineLevel="0" collapsed="false">
      <c r="B36" s="25"/>
      <c r="C36" s="25"/>
      <c r="D36" s="25"/>
      <c r="E36" s="25"/>
      <c r="F36" s="25"/>
      <c r="G36" s="25"/>
      <c r="H36" s="25"/>
      <c r="I36" s="25"/>
      <c r="J36" s="25"/>
      <c r="L36" s="22" t="s">
        <v>121</v>
      </c>
      <c r="M36" s="23" t="n">
        <f aca="false">M35-1980</f>
        <v>9480</v>
      </c>
    </row>
    <row r="37" customFormat="false" ht="27.75" hidden="false" customHeight="true" outlineLevel="0" collapsed="false">
      <c r="B37" s="25"/>
      <c r="C37" s="25"/>
      <c r="D37" s="25"/>
      <c r="E37" s="25"/>
      <c r="F37" s="25"/>
      <c r="G37" s="25"/>
      <c r="H37" s="25"/>
      <c r="I37" s="25"/>
      <c r="J37" s="25"/>
      <c r="L37" s="22" t="s">
        <v>122</v>
      </c>
      <c r="M37" s="30" t="n">
        <f aca="false">(M22-100)*195</f>
        <v>-1560</v>
      </c>
    </row>
    <row r="38" customFormat="false" ht="27.75" hidden="false" customHeight="true" outlineLevel="0" collapsed="false">
      <c r="B38" s="25"/>
      <c r="C38" s="25"/>
      <c r="D38" s="25"/>
      <c r="E38" s="25"/>
      <c r="F38" s="25"/>
      <c r="G38" s="25"/>
      <c r="H38" s="25"/>
      <c r="I38" s="25"/>
      <c r="J38" s="25"/>
      <c r="L38" s="22" t="s">
        <v>123</v>
      </c>
      <c r="M38" s="30" t="n">
        <f aca="false">M22*(M16/M22-195)</f>
        <v>-49.9999999999998</v>
      </c>
    </row>
    <row r="39" customFormat="false" ht="15" hidden="false" customHeight="true" outlineLevel="0" collapsed="false">
      <c r="B39" s="25"/>
      <c r="C39" s="25"/>
      <c r="D39" s="25"/>
      <c r="E39" s="25"/>
      <c r="F39" s="25"/>
      <c r="G39" s="25"/>
      <c r="H39" s="25"/>
      <c r="I39" s="25"/>
      <c r="J39" s="25"/>
      <c r="L39" s="22" t="s">
        <v>124</v>
      </c>
      <c r="M39" s="23" t="n">
        <f aca="false">M16/M22</f>
        <v>194.45652173913</v>
      </c>
    </row>
    <row r="40" customFormat="false" ht="15" hidden="false" customHeight="false" outlineLevel="0" collapsed="false">
      <c r="B40" s="25"/>
      <c r="C40" s="25"/>
      <c r="D40" s="25"/>
      <c r="E40" s="25"/>
      <c r="F40" s="25"/>
      <c r="G40" s="25"/>
      <c r="H40" s="25"/>
      <c r="I40" s="25"/>
      <c r="J40" s="25"/>
    </row>
    <row r="41" customFormat="false" ht="15" hidden="false" customHeight="false" outlineLevel="0" collapsed="false">
      <c r="B41" s="25"/>
      <c r="C41" s="25"/>
      <c r="D41" s="25"/>
      <c r="E41" s="25"/>
      <c r="F41" s="25"/>
      <c r="G41" s="25"/>
      <c r="H41" s="25"/>
      <c r="I41" s="25"/>
      <c r="J41" s="25"/>
    </row>
    <row r="42" customFormat="false" ht="15" hidden="false" customHeight="false" outlineLevel="0" collapsed="false">
      <c r="B42" s="25"/>
      <c r="C42" s="25"/>
      <c r="D42" s="25"/>
      <c r="E42" s="25"/>
      <c r="F42" s="25"/>
      <c r="G42" s="25"/>
      <c r="H42" s="25"/>
      <c r="I42" s="25"/>
      <c r="J42" s="25"/>
    </row>
    <row r="43" customFormat="false" ht="15" hidden="false" customHeight="false" outlineLevel="0" collapsed="false">
      <c r="B43" s="25"/>
      <c r="C43" s="25"/>
      <c r="D43" s="25"/>
      <c r="E43" s="25"/>
      <c r="F43" s="25"/>
      <c r="G43" s="25"/>
      <c r="H43" s="25"/>
      <c r="I43" s="25"/>
      <c r="J43" s="25"/>
    </row>
    <row r="44" customFormat="false" ht="15" hidden="false" customHeight="false" outlineLevel="0" collapsed="false">
      <c r="B44" s="25"/>
      <c r="C44" s="25"/>
      <c r="D44" s="25"/>
      <c r="E44" s="25"/>
      <c r="F44" s="25"/>
      <c r="G44" s="25"/>
      <c r="H44" s="25"/>
      <c r="I44" s="25"/>
      <c r="J44" s="25"/>
    </row>
    <row r="46" customFormat="false" ht="15" hidden="false" customHeight="false" outlineLevel="0" collapsed="false">
      <c r="B46" s="31" t="s">
        <v>125</v>
      </c>
    </row>
    <row r="47" customFormat="false" ht="15" hidden="false" customHeight="false" outlineLevel="0" collapsed="false">
      <c r="B47" s="31" t="s">
        <v>126</v>
      </c>
    </row>
    <row r="48" customFormat="false" ht="15" hidden="false" customHeight="false" outlineLevel="0" collapsed="false">
      <c r="B48" s="31" t="s">
        <v>127</v>
      </c>
    </row>
    <row r="49" customFormat="false" ht="15" hidden="false" customHeight="false" outlineLevel="0" collapsed="false">
      <c r="B49" s="31" t="s">
        <v>128</v>
      </c>
    </row>
  </sheetData>
  <mergeCells count="9">
    <mergeCell ref="A1:M1"/>
    <mergeCell ref="A2:M2"/>
    <mergeCell ref="A4:M4"/>
    <mergeCell ref="A5:M5"/>
    <mergeCell ref="A6:M6"/>
    <mergeCell ref="A7:M7"/>
    <mergeCell ref="A8:M8"/>
    <mergeCell ref="A9:M9"/>
    <mergeCell ref="B33:J44"/>
  </mergeCells>
  <conditionalFormatting sqref="J15:J29">
    <cfRule type="expression" priority="2" aboveAverage="0" equalAverage="0" bottom="0" percent="0" rank="0" text="" dxfId="0">
      <formula>$J15="Vert"</formula>
    </cfRule>
    <cfRule type="expression" priority="3" aboveAverage="0" equalAverage="0" bottom="0" percent="0" rank="0" text="" dxfId="1">
      <formula>$J15="Orange"</formula>
    </cfRule>
    <cfRule type="expression" priority="4" aboveAverage="0" equalAverage="0" bottom="0" percent="0" rank="0" text="" dxfId="2">
      <formula>$J15="Rouge"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2026-10-16T12:11:41Z</dcterms:created>
  <dc:creator>openpyxl</dc:creator>
  <dc:description/>
  <dc:language>en-US</dc:language>
  <cp:lastModifiedBy/>
  <dcterms:modified xsi:type="dcterms:W3CDTF">2026-10-16T12:11:41Z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